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tccloud-my.sharepoint.com/personal/geva_ptc_com/Documents/General/Microsoft/Sizing and Cost Estimation/"/>
    </mc:Choice>
  </mc:AlternateContent>
  <xr:revisionPtr revIDLastSave="331" documentId="8_{3139220E-2723-484C-B073-82983EF40A48}" xr6:coauthVersionLast="43" xr6:coauthVersionMax="43" xr10:uidLastSave="{35A440FC-FF7A-7F45-AD6C-7EA8E768A28C}"/>
  <bookViews>
    <workbookView xWindow="520" yWindow="1760" windowWidth="28700" windowHeight="17560" xr2:uid="{079CC915-D6C8-1C4C-AF44-04955D72C991}"/>
  </bookViews>
  <sheets>
    <sheet name="Calculator" sheetId="1" r:id="rId1"/>
    <sheet name="Price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21" i="1"/>
  <c r="C20" i="1"/>
  <c r="C19" i="1"/>
  <c r="C18" i="1"/>
  <c r="F21" i="1"/>
  <c r="F20" i="1"/>
  <c r="F19" i="1"/>
  <c r="F18" i="1"/>
  <c r="D12" i="1"/>
  <c r="E12" i="1" s="1"/>
  <c r="F7" i="1"/>
  <c r="F11" i="1"/>
  <c r="I11" i="1" s="1"/>
  <c r="F8" i="1"/>
  <c r="F9" i="1"/>
  <c r="I9" i="1" s="1"/>
  <c r="F10" i="1"/>
  <c r="F6" i="1"/>
  <c r="G11" i="1"/>
  <c r="G10" i="1"/>
  <c r="G9" i="1"/>
  <c r="G7" i="1"/>
  <c r="G6" i="1"/>
  <c r="G8" i="1" s="1"/>
  <c r="C10" i="1"/>
  <c r="C9" i="1"/>
  <c r="C8" i="1"/>
  <c r="I8" i="1" l="1"/>
  <c r="J8" i="1" s="1"/>
  <c r="K8" i="1" s="1"/>
  <c r="F12" i="1"/>
  <c r="I12" i="1" s="1"/>
  <c r="J12" i="1" s="1"/>
  <c r="K12" i="1" s="1"/>
  <c r="I6" i="1"/>
  <c r="J6" i="1" s="1"/>
  <c r="K6" i="1" s="1"/>
  <c r="I10" i="1"/>
  <c r="J10" i="1" s="1"/>
  <c r="K10" i="1" s="1"/>
  <c r="I7" i="1"/>
  <c r="J7" i="1" s="1"/>
  <c r="K7" i="1" s="1"/>
  <c r="J11" i="1"/>
  <c r="K11" i="1" s="1"/>
  <c r="J9" i="1"/>
  <c r="K9" i="1" s="1"/>
  <c r="L10" i="1" l="1"/>
  <c r="M10" i="1"/>
  <c r="L7" i="1"/>
  <c r="M7" i="1"/>
  <c r="M9" i="1"/>
  <c r="L9" i="1"/>
  <c r="L11" i="1"/>
  <c r="M11" i="1"/>
  <c r="M6" i="1"/>
  <c r="L6" i="1"/>
  <c r="M12" i="1"/>
  <c r="L12" i="1"/>
  <c r="M8" i="1"/>
  <c r="L8" i="1"/>
  <c r="M14" i="1" l="1"/>
  <c r="D16" i="1" l="1"/>
  <c r="D17" i="1" l="1"/>
  <c r="E17" i="1" s="1"/>
  <c r="G17" i="1" s="1"/>
  <c r="D18" i="1" l="1"/>
  <c r="E18" i="1" s="1"/>
  <c r="G18" i="1" s="1"/>
  <c r="D19" i="1" l="1"/>
  <c r="D20" i="1" l="1"/>
  <c r="E20" i="1" s="1"/>
  <c r="G20" i="1" s="1"/>
  <c r="E19" i="1"/>
  <c r="G19" i="1" s="1"/>
  <c r="D21" i="1" l="1"/>
  <c r="E21" i="1" s="1"/>
  <c r="G21" i="1" s="1"/>
  <c r="G23" i="1" s="1"/>
  <c r="G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tc={D185C5AC-D305-CF47-9A22-6626A86EC6D8}</author>
  </authors>
  <commentList>
    <comment ref="G5" authorId="0" shapeId="0" xr:uid="{D185C5AC-D305-CF47-9A22-6626A86EC6D8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Assuming text with 2-byte UTF-8 characters</t>
      </text>
    </comment>
  </commentList>
</comments>
</file>

<file path=xl/sharedStrings.xml><?xml version="1.0" encoding="utf-8"?>
<sst xmlns="http://schemas.openxmlformats.org/spreadsheetml/2006/main" count="77" uniqueCount="58">
  <si>
    <t>Data Transfer Pricing</t>
  </si>
  <si>
    <t>Type</t>
  </si>
  <si>
    <t>Tier</t>
  </si>
  <si>
    <t>Egress (GB)</t>
  </si>
  <si>
    <t>Ingress (GB)</t>
  </si>
  <si>
    <t>Standard</t>
  </si>
  <si>
    <t>Description</t>
  </si>
  <si>
    <t>Classic Regional data transfer pricing (free ingress)</t>
  </si>
  <si>
    <t>Price/GB</t>
  </si>
  <si>
    <t>USD</t>
  </si>
  <si>
    <t>EUR</t>
  </si>
  <si>
    <t>GBP</t>
  </si>
  <si>
    <t>Low Limit</t>
  </si>
  <si>
    <t>High Limit</t>
  </si>
  <si>
    <t>High Lmit</t>
  </si>
  <si>
    <t>Devices</t>
  </si>
  <si>
    <t>Properties</t>
  </si>
  <si>
    <t>Device Info</t>
  </si>
  <si>
    <t>Audit</t>
  </si>
  <si>
    <t>Alarms</t>
  </si>
  <si>
    <t>Events</t>
  </si>
  <si>
    <t>Daily Frequency</t>
  </si>
  <si>
    <t>Payload (bytes)</t>
  </si>
  <si>
    <t>Files (download)</t>
  </si>
  <si>
    <t>Files (URL)</t>
  </si>
  <si>
    <t>Overhead</t>
  </si>
  <si>
    <t>TCP/IP</t>
  </si>
  <si>
    <t>HTTP</t>
  </si>
  <si>
    <t>Percentage Constants (change in each cell)</t>
  </si>
  <si>
    <t>Benefit</t>
  </si>
  <si>
    <t>Result</t>
  </si>
  <si>
    <t>Compression</t>
  </si>
  <si>
    <t>Total</t>
  </si>
  <si>
    <t>Headers</t>
  </si>
  <si>
    <t>Daily Traffic Totals</t>
  </si>
  <si>
    <t>All Devices (Gb)</t>
  </si>
  <si>
    <t>Transaction</t>
  </si>
  <si>
    <t>Device (Mb)</t>
  </si>
  <si>
    <t>Device (b)</t>
  </si>
  <si>
    <t>Azure Data Transfer Costs</t>
  </si>
  <si>
    <t>Monthly Transfer Total</t>
  </si>
  <si>
    <t>Egress Tranche 0</t>
  </si>
  <si>
    <t>Egress Tranche 1</t>
  </si>
  <si>
    <t>Egress Tranche 2</t>
  </si>
  <si>
    <t>Egress Tranche 3</t>
  </si>
  <si>
    <t>Egress Tranche 4</t>
  </si>
  <si>
    <t>Per GB Cost</t>
  </si>
  <si>
    <t>Tranche Cost</t>
  </si>
  <si>
    <t>Total Monthly Cost</t>
  </si>
  <si>
    <t>Currency</t>
  </si>
  <si>
    <t>Cost Model</t>
  </si>
  <si>
    <t>Total Yearly Cost</t>
  </si>
  <si>
    <t>Gb/DAY</t>
  </si>
  <si>
    <t>Transfer Gb</t>
  </si>
  <si>
    <t>Online cost calculator test for 5 Tb yields</t>
  </si>
  <si>
    <t>Online cost calculator test for 4 Tb yields</t>
  </si>
  <si>
    <t>Impossible to calculate by Gb in online tool past 400Gb</t>
  </si>
  <si>
    <t>Billable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</si>
</sst>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£-809]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9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1" xfId="0" applyBorder="1"/>
    <xf numFmtId="0" fontId="1" fillId="0" borderId="0" xfId="0" applyFont="1"/>
    <xf numFmtId="0" fontId="4" fillId="0" borderId="0" xfId="0" applyFont="1"/>
    <xf numFmtId="164" fontId="4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5" fontId="0" fillId="0" borderId="0" xfId="0" applyNumberFormat="1"/>
    <xf numFmtId="1" fontId="0" fillId="0" borderId="0" xfId="0" applyNumberFormat="1" applyBorder="1"/>
    <xf numFmtId="0" fontId="0" fillId="0" borderId="0" xfId="0" applyBorder="1"/>
    <xf numFmtId="0" fontId="0" fillId="2" borderId="2" xfId="0" applyFill="1" applyBorder="1"/>
    <xf numFmtId="0" fontId="1" fillId="2" borderId="3" xfId="0" applyFont="1" applyFill="1" applyBorder="1" applyAlignment="1">
      <alignment horizontal="right"/>
    </xf>
    <xf numFmtId="165" fontId="0" fillId="2" borderId="4" xfId="0" applyNumberFormat="1" applyFill="1" applyBorder="1"/>
    <xf numFmtId="0" fontId="0" fillId="2" borderId="5" xfId="0" applyFill="1" applyBorder="1"/>
    <xf numFmtId="0" fontId="1" fillId="2" borderId="6" xfId="0" applyFont="1" applyFill="1" applyBorder="1" applyAlignment="1">
      <alignment horizontal="right"/>
    </xf>
    <xf numFmtId="165" fontId="0" fillId="2" borderId="7" xfId="0" applyNumberFormat="1" applyFill="1" applyBorder="1"/>
    <xf numFmtId="0" fontId="0" fillId="2" borderId="3" xfId="0" applyFill="1" applyBorder="1"/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Calculator!$B$6:$B$12</c:f>
              <c:strCache>
                <c:ptCount val="7"/>
                <c:pt idx="0">
                  <c:v>Properties</c:v>
                </c:pt>
                <c:pt idx="1">
                  <c:v>Device Info</c:v>
                </c:pt>
                <c:pt idx="2">
                  <c:v>Audit</c:v>
                </c:pt>
                <c:pt idx="3">
                  <c:v>Alarms</c:v>
                </c:pt>
                <c:pt idx="4">
                  <c:v>Events</c:v>
                </c:pt>
                <c:pt idx="5">
                  <c:v>Files (URL)</c:v>
                </c:pt>
                <c:pt idx="6">
                  <c:v>Files (download)</c:v>
                </c:pt>
              </c:strCache>
            </c:strRef>
          </c:cat>
          <c:val>
            <c:numRef>
              <c:f>Calculator!$M$6:$M$12</c:f>
              <c:numCache>
                <c:formatCode>0.0</c:formatCode>
                <c:ptCount val="7"/>
                <c:pt idx="0">
                  <c:v>4.939734935760498</c:v>
                </c:pt>
                <c:pt idx="1">
                  <c:v>1.6339123249053955E-2</c:v>
                </c:pt>
                <c:pt idx="2">
                  <c:v>1.4534220099449158E-2</c:v>
                </c:pt>
                <c:pt idx="3">
                  <c:v>9.6894800662994385E-2</c:v>
                </c:pt>
                <c:pt idx="4">
                  <c:v>0.58136880397796631</c:v>
                </c:pt>
                <c:pt idx="5">
                  <c:v>7.4096024036407471E-2</c:v>
                </c:pt>
                <c:pt idx="6">
                  <c:v>134.49602499604228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0-3541-B49D-F9B85D17E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514772</xdr:colOff>
      <xdr:row>14</xdr:row>
      <xdr:rowOff>121920</xdr:rowOff>
    </xdr:from>
    <xdr:to>
      <xdr:col>13</xdr:col>
      <xdr:colOff>5079</xdr:colOff>
      <xdr:row>24</xdr:row>
      <xdr:rowOff>147320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19322E-E8D5-474C-9E4A-70D90B0D23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va, Greg" id="{80597941-5331-6E43-B5A7-74DC522FAB14}" userId="S::geva@ptc.com::4b42f2d4-7c3d-4710-bbdc-400ef5c360e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" dT="2019-05-28T13:27:30.64" personId="{80597941-5331-6E43-B5A7-74DC522FAB14}" id="{D185C5AC-D305-CF47-9A22-6626A86EC6D8}">
    <text>Assuming text with 2-byte UTF-8 characters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C06D-BEB9-7D49-ABBB-7B1E1099C9FC}">
  <dimension ref="B1:N29"/>
  <sheetViews>
    <sheetView tabSelected="1" zoomScale="165" workbookViewId="0">
      <selection activeCell="C12" sqref="C12"/>
    </sheetView>
  </sheetViews>
  <sheetFormatPr baseColWidth="10" defaultRowHeight="16" x14ac:dyDescent="0.2"/>
  <cols>
    <col min="1" max="1" width="5.83203125" customWidth="1"/>
    <col min="2" max="2" width="14.83203125" customWidth="1"/>
    <col min="3" max="3" width="15" customWidth="1"/>
    <col min="4" max="4" width="15.1640625" customWidth="1"/>
    <col min="5" max="9" width="12.83203125" customWidth="1"/>
    <col min="10" max="10" width="14" customWidth="1"/>
    <col min="11" max="12" width="12.6640625" customWidth="1"/>
    <col min="13" max="13" width="16.83203125" customWidth="1"/>
  </cols>
  <sheetData>
    <row r="1" spans="2:14" x14ac:dyDescent="0.2">
      <c r="E1" s="12" t="s">
        <v>28</v>
      </c>
      <c r="F1" s="12"/>
      <c r="G1" s="12"/>
      <c r="H1" s="12"/>
      <c r="I1" s="12"/>
    </row>
    <row r="2" spans="2:14" x14ac:dyDescent="0.2">
      <c r="B2" s="8" t="s">
        <v>15</v>
      </c>
      <c r="C2">
        <v>4000</v>
      </c>
      <c r="E2" s="4">
        <v>-0.55000000000000004</v>
      </c>
      <c r="F2" s="4"/>
      <c r="G2" s="4">
        <v>0.15</v>
      </c>
      <c r="H2" s="4">
        <v>0.1</v>
      </c>
      <c r="I2" s="4">
        <v>0.02</v>
      </c>
    </row>
    <row r="3" spans="2:14" x14ac:dyDescent="0.2">
      <c r="E3" s="4"/>
      <c r="F3" s="4"/>
      <c r="G3" s="4"/>
      <c r="H3" s="4"/>
      <c r="I3" s="4"/>
    </row>
    <row r="4" spans="2:14" s="8" customFormat="1" x14ac:dyDescent="0.2">
      <c r="E4" s="11" t="s">
        <v>31</v>
      </c>
      <c r="F4" s="11"/>
      <c r="G4" s="12" t="s">
        <v>25</v>
      </c>
      <c r="H4" s="12"/>
      <c r="I4" s="12"/>
      <c r="J4" s="12" t="s">
        <v>34</v>
      </c>
      <c r="K4" s="12"/>
      <c r="L4" s="12"/>
      <c r="M4" s="12"/>
    </row>
    <row r="5" spans="2:14" s="8" customFormat="1" ht="17" x14ac:dyDescent="0.2">
      <c r="C5" s="8" t="s">
        <v>21</v>
      </c>
      <c r="D5" s="8" t="s">
        <v>22</v>
      </c>
      <c r="E5" s="13" t="s">
        <v>29</v>
      </c>
      <c r="F5" s="13" t="s">
        <v>30</v>
      </c>
      <c r="G5" s="14" t="s">
        <v>33</v>
      </c>
      <c r="H5" s="14" t="s">
        <v>27</v>
      </c>
      <c r="I5" s="14" t="s">
        <v>26</v>
      </c>
      <c r="J5" s="14" t="s">
        <v>36</v>
      </c>
      <c r="K5" s="14" t="s">
        <v>38</v>
      </c>
      <c r="L5" s="14" t="s">
        <v>37</v>
      </c>
      <c r="M5" s="14" t="s">
        <v>35</v>
      </c>
    </row>
    <row r="6" spans="2:14" x14ac:dyDescent="0.2">
      <c r="B6" s="8" t="s">
        <v>16</v>
      </c>
      <c r="C6">
        <v>1000</v>
      </c>
      <c r="D6">
        <v>200</v>
      </c>
      <c r="E6">
        <v>0</v>
      </c>
      <c r="F6">
        <f>D6+E6</f>
        <v>200</v>
      </c>
      <c r="G6">
        <f>(25+25+100)*2</f>
        <v>300</v>
      </c>
      <c r="H6">
        <v>800</v>
      </c>
      <c r="I6">
        <f>SUM(F6:H6)*$I$2</f>
        <v>26</v>
      </c>
      <c r="J6">
        <f>SUM(F6:I6)</f>
        <v>1326</v>
      </c>
      <c r="K6">
        <f t="shared" ref="K6:K12" si="0">J6*C6</f>
        <v>1326000</v>
      </c>
      <c r="L6" s="6">
        <f>K6/(1024^2)</f>
        <v>1.2645721435546875</v>
      </c>
      <c r="M6" s="6">
        <f>(K6*$C$2)/(1024^3)</f>
        <v>4.939734935760498</v>
      </c>
    </row>
    <row r="7" spans="2:14" x14ac:dyDescent="0.2">
      <c r="B7" s="8" t="s">
        <v>17</v>
      </c>
      <c r="C7">
        <v>2</v>
      </c>
      <c r="D7">
        <v>1000</v>
      </c>
      <c r="E7">
        <v>0</v>
      </c>
      <c r="F7">
        <f t="shared" ref="F7:F12" si="1">D7+E7</f>
        <v>1000</v>
      </c>
      <c r="G7">
        <f>(25+25+25+100)*2</f>
        <v>350</v>
      </c>
      <c r="H7">
        <v>800</v>
      </c>
      <c r="I7">
        <f t="shared" ref="I7:I12" si="2">SUM(F7:H7)*$I$2</f>
        <v>43</v>
      </c>
      <c r="J7">
        <f t="shared" ref="J7:J12" si="3">SUM(F7:I7)</f>
        <v>2193</v>
      </c>
      <c r="K7">
        <f t="shared" si="0"/>
        <v>4386</v>
      </c>
      <c r="L7" s="6">
        <f t="shared" ref="L7:L12" si="4">K7/(1024^2)</f>
        <v>4.1828155517578125E-3</v>
      </c>
      <c r="M7" s="6">
        <f t="shared" ref="M7:M12" si="5">(K7*$C$2)/(1024^3)</f>
        <v>1.6339123249053955E-2</v>
      </c>
    </row>
    <row r="8" spans="2:14" x14ac:dyDescent="0.2">
      <c r="B8" s="8" t="s">
        <v>18</v>
      </c>
      <c r="C8">
        <f>3000/C2</f>
        <v>0.75</v>
      </c>
      <c r="D8">
        <v>4000</v>
      </c>
      <c r="E8">
        <v>0</v>
      </c>
      <c r="F8">
        <f t="shared" si="1"/>
        <v>4000</v>
      </c>
      <c r="G8">
        <f>G6</f>
        <v>300</v>
      </c>
      <c r="H8">
        <v>800</v>
      </c>
      <c r="I8">
        <f t="shared" si="2"/>
        <v>102</v>
      </c>
      <c r="J8">
        <f t="shared" si="3"/>
        <v>5202</v>
      </c>
      <c r="K8">
        <f t="shared" si="0"/>
        <v>3901.5</v>
      </c>
      <c r="L8" s="6">
        <f t="shared" si="4"/>
        <v>3.7207603454589844E-3</v>
      </c>
      <c r="M8" s="6">
        <f t="shared" si="5"/>
        <v>1.4534220099449158E-2</v>
      </c>
    </row>
    <row r="9" spans="2:14" x14ac:dyDescent="0.2">
      <c r="B9" s="8" t="s">
        <v>19</v>
      </c>
      <c r="C9">
        <f>20000/C2</f>
        <v>5</v>
      </c>
      <c r="D9">
        <v>4000</v>
      </c>
      <c r="E9">
        <v>0</v>
      </c>
      <c r="F9">
        <f t="shared" si="1"/>
        <v>4000</v>
      </c>
      <c r="G9">
        <f>(25+25+100)*2</f>
        <v>300</v>
      </c>
      <c r="H9">
        <v>800</v>
      </c>
      <c r="I9">
        <f t="shared" si="2"/>
        <v>102</v>
      </c>
      <c r="J9">
        <f t="shared" si="3"/>
        <v>5202</v>
      </c>
      <c r="K9">
        <f t="shared" si="0"/>
        <v>26010</v>
      </c>
      <c r="L9" s="6">
        <f t="shared" si="4"/>
        <v>2.4805068969726562E-2</v>
      </c>
      <c r="M9" s="6">
        <f t="shared" si="5"/>
        <v>9.6894800662994385E-2</v>
      </c>
    </row>
    <row r="10" spans="2:14" x14ac:dyDescent="0.2">
      <c r="B10" s="8" t="s">
        <v>20</v>
      </c>
      <c r="C10">
        <f>120000/C2</f>
        <v>30</v>
      </c>
      <c r="D10">
        <v>4000</v>
      </c>
      <c r="E10">
        <v>0</v>
      </c>
      <c r="F10">
        <f t="shared" si="1"/>
        <v>4000</v>
      </c>
      <c r="G10">
        <f>(25+25+100)*2</f>
        <v>300</v>
      </c>
      <c r="H10">
        <v>800</v>
      </c>
      <c r="I10">
        <f t="shared" si="2"/>
        <v>102</v>
      </c>
      <c r="J10">
        <f t="shared" si="3"/>
        <v>5202</v>
      </c>
      <c r="K10">
        <f t="shared" si="0"/>
        <v>156060</v>
      </c>
      <c r="L10" s="6">
        <f t="shared" si="4"/>
        <v>0.14883041381835938</v>
      </c>
      <c r="M10" s="6">
        <f t="shared" si="5"/>
        <v>0.58136880397796631</v>
      </c>
    </row>
    <row r="11" spans="2:14" x14ac:dyDescent="0.2">
      <c r="B11" s="8" t="s">
        <v>24</v>
      </c>
      <c r="C11">
        <v>15</v>
      </c>
      <c r="D11">
        <v>200</v>
      </c>
      <c r="E11">
        <v>0</v>
      </c>
      <c r="F11">
        <f t="shared" si="1"/>
        <v>200</v>
      </c>
      <c r="G11">
        <f>(25+25+100)*2</f>
        <v>300</v>
      </c>
      <c r="H11">
        <v>800</v>
      </c>
      <c r="I11">
        <f t="shared" si="2"/>
        <v>26</v>
      </c>
      <c r="J11">
        <f t="shared" si="3"/>
        <v>1326</v>
      </c>
      <c r="K11">
        <f t="shared" si="0"/>
        <v>19890</v>
      </c>
      <c r="L11" s="6">
        <f t="shared" si="4"/>
        <v>1.8968582153320312E-2</v>
      </c>
      <c r="M11" s="6">
        <f t="shared" si="5"/>
        <v>7.4096024036407471E-2</v>
      </c>
    </row>
    <row r="12" spans="2:14" x14ac:dyDescent="0.2">
      <c r="B12" s="8" t="s">
        <v>23</v>
      </c>
      <c r="C12">
        <f>C11</f>
        <v>15</v>
      </c>
      <c r="D12">
        <f>5*(1024^2)</f>
        <v>5242880</v>
      </c>
      <c r="E12">
        <f t="shared" ref="E8:E12" si="6">D12*$E$2</f>
        <v>-2883584</v>
      </c>
      <c r="F12">
        <f t="shared" si="1"/>
        <v>2359296</v>
      </c>
      <c r="G12">
        <v>10</v>
      </c>
      <c r="H12">
        <v>400</v>
      </c>
      <c r="I12" s="5">
        <f t="shared" si="2"/>
        <v>47194.12</v>
      </c>
      <c r="J12" s="5">
        <f t="shared" si="3"/>
        <v>2406900.12</v>
      </c>
      <c r="K12" s="5">
        <f t="shared" si="0"/>
        <v>36103501.800000004</v>
      </c>
      <c r="L12" s="6">
        <f t="shared" si="4"/>
        <v>34.430982398986821</v>
      </c>
      <c r="M12" s="6">
        <f t="shared" si="5"/>
        <v>134.49602499604228</v>
      </c>
    </row>
    <row r="13" spans="2:14" x14ac:dyDescent="0.2">
      <c r="K13" s="7"/>
      <c r="L13" s="7"/>
      <c r="M13" s="7"/>
    </row>
    <row r="14" spans="2:14" ht="19" x14ac:dyDescent="0.25">
      <c r="K14" s="9"/>
      <c r="L14" s="9" t="s">
        <v>32</v>
      </c>
      <c r="M14" s="10">
        <f>SUM(M6:M12)</f>
        <v>140.21899290382865</v>
      </c>
      <c r="N14" s="9" t="s">
        <v>52</v>
      </c>
    </row>
    <row r="15" spans="2:14" x14ac:dyDescent="0.2">
      <c r="B15" s="8" t="s">
        <v>39</v>
      </c>
      <c r="D15" s="14" t="s">
        <v>53</v>
      </c>
      <c r="E15" s="14" t="s">
        <v>57</v>
      </c>
      <c r="F15" s="14" t="s">
        <v>46</v>
      </c>
      <c r="G15" s="14" t="s">
        <v>47</v>
      </c>
    </row>
    <row r="16" spans="2:14" x14ac:dyDescent="0.2">
      <c r="B16" t="s">
        <v>40</v>
      </c>
      <c r="D16" s="5">
        <f>(M14*365.25)/12</f>
        <v>4267.9155965102846</v>
      </c>
    </row>
    <row r="17" spans="2:8" x14ac:dyDescent="0.2">
      <c r="B17" t="s">
        <v>41</v>
      </c>
      <c r="C17">
        <v>5</v>
      </c>
      <c r="D17" s="5">
        <f>D16-C17</f>
        <v>4262.9155965102846</v>
      </c>
      <c r="E17" s="5">
        <f>D16-D17</f>
        <v>5</v>
      </c>
      <c r="F17">
        <v>0</v>
      </c>
      <c r="G17" s="15">
        <f>E17*F17</f>
        <v>0</v>
      </c>
    </row>
    <row r="18" spans="2:8" x14ac:dyDescent="0.2">
      <c r="B18" t="s">
        <v>42</v>
      </c>
      <c r="C18">
        <f>5*1024</f>
        <v>5120</v>
      </c>
      <c r="D18" s="5">
        <f>IF(D17&gt;C18,D17-C18,0)</f>
        <v>0</v>
      </c>
      <c r="E18" s="5">
        <f t="shared" ref="E18:E21" si="7">D17-D18</f>
        <v>4262.9155965102846</v>
      </c>
      <c r="F18">
        <f>Prices!J5</f>
        <v>6.5000000000000002E-2</v>
      </c>
      <c r="G18" s="15">
        <f t="shared" ref="G18:G21" si="8">E18*F18</f>
        <v>277.08951377316851</v>
      </c>
    </row>
    <row r="19" spans="2:8" x14ac:dyDescent="0.2">
      <c r="B19" t="s">
        <v>43</v>
      </c>
      <c r="C19">
        <f>40*1024</f>
        <v>40960</v>
      </c>
      <c r="D19" s="5">
        <f t="shared" ref="D19:D21" si="9">IF(D18&gt;C19,D18-C19,0)</f>
        <v>0</v>
      </c>
      <c r="E19" s="5">
        <f t="shared" si="7"/>
        <v>0</v>
      </c>
      <c r="F19">
        <f>Prices!J6</f>
        <v>6.2E-2</v>
      </c>
      <c r="G19" s="15">
        <f t="shared" si="8"/>
        <v>0</v>
      </c>
    </row>
    <row r="20" spans="2:8" x14ac:dyDescent="0.2">
      <c r="B20" t="s">
        <v>44</v>
      </c>
      <c r="C20">
        <f>100*1024</f>
        <v>102400</v>
      </c>
      <c r="D20" s="5">
        <f t="shared" si="9"/>
        <v>0</v>
      </c>
      <c r="E20" s="5">
        <f t="shared" si="7"/>
        <v>0</v>
      </c>
      <c r="F20">
        <f>Prices!J7</f>
        <v>5.2999999999999999E-2</v>
      </c>
      <c r="G20" s="15">
        <f t="shared" si="8"/>
        <v>0</v>
      </c>
    </row>
    <row r="21" spans="2:8" x14ac:dyDescent="0.2">
      <c r="B21" t="s">
        <v>45</v>
      </c>
      <c r="C21">
        <f>350*1024</f>
        <v>358400</v>
      </c>
      <c r="D21" s="5">
        <f t="shared" si="9"/>
        <v>0</v>
      </c>
      <c r="E21" s="5">
        <f t="shared" si="7"/>
        <v>0</v>
      </c>
      <c r="F21">
        <f>Prices!J8</f>
        <v>3.7999999999999999E-2</v>
      </c>
      <c r="G21" s="15">
        <f t="shared" si="8"/>
        <v>0</v>
      </c>
    </row>
    <row r="22" spans="2:8" ht="17" thickBot="1" x14ac:dyDescent="0.25">
      <c r="D22" s="16"/>
      <c r="F22" s="17"/>
      <c r="G22" s="15"/>
    </row>
    <row r="23" spans="2:8" x14ac:dyDescent="0.2">
      <c r="D23" s="18"/>
      <c r="E23" s="24"/>
      <c r="F23" s="19" t="s">
        <v>48</v>
      </c>
      <c r="G23" s="20">
        <f>SUM(G16:G22)</f>
        <v>277.08951377316851</v>
      </c>
    </row>
    <row r="24" spans="2:8" ht="17" thickBot="1" x14ac:dyDescent="0.25">
      <c r="D24" s="21"/>
      <c r="E24" s="25"/>
      <c r="F24" s="22" t="s">
        <v>51</v>
      </c>
      <c r="G24" s="23">
        <f>G23*12</f>
        <v>3325.0741652780221</v>
      </c>
    </row>
    <row r="27" spans="2:8" x14ac:dyDescent="0.2">
      <c r="B27" t="s">
        <v>56</v>
      </c>
      <c r="G27" s="8" t="s">
        <v>49</v>
      </c>
      <c r="H27" t="s">
        <v>11</v>
      </c>
    </row>
    <row r="28" spans="2:8" x14ac:dyDescent="0.2">
      <c r="B28" t="s">
        <v>55</v>
      </c>
      <c r="E28">
        <v>265.27</v>
      </c>
      <c r="F28" t="s">
        <v>11</v>
      </c>
      <c r="G28" s="8" t="s">
        <v>50</v>
      </c>
      <c r="H28" t="s">
        <v>5</v>
      </c>
    </row>
    <row r="29" spans="2:8" x14ac:dyDescent="0.2">
      <c r="B29" t="s">
        <v>54</v>
      </c>
      <c r="E29">
        <v>331.67</v>
      </c>
      <c r="F29" t="s">
        <v>11</v>
      </c>
    </row>
  </sheetData>
  <mergeCells count="4">
    <mergeCell ref="E1:I1"/>
    <mergeCell ref="E4:F4"/>
    <mergeCell ref="G4:I4"/>
    <mergeCell ref="J4:M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ACE5D-9A88-4444-ACB9-5D3E3681B20A}">
  <dimension ref="A1:J11"/>
  <sheetViews>
    <sheetView workbookViewId="0">
      <selection activeCell="F6" sqref="F6:G8"/>
    </sheetView>
  </sheetViews>
  <sheetFormatPr baseColWidth="10" defaultRowHeight="16" x14ac:dyDescent="0.2"/>
  <cols>
    <col min="1" max="1" width="22" customWidth="1"/>
    <col min="2" max="2" width="46.5" customWidth="1"/>
    <col min="4" max="7" width="10.33203125" customWidth="1"/>
  </cols>
  <sheetData>
    <row r="1" spans="1:10" ht="21" x14ac:dyDescent="0.25">
      <c r="A1" s="3" t="s">
        <v>0</v>
      </c>
    </row>
    <row r="2" spans="1:10" x14ac:dyDescent="0.2">
      <c r="D2" s="2" t="s">
        <v>4</v>
      </c>
      <c r="E2" s="2"/>
      <c r="F2" s="2" t="s">
        <v>3</v>
      </c>
      <c r="G2" s="2"/>
      <c r="H2" s="2" t="s">
        <v>8</v>
      </c>
      <c r="I2" s="2"/>
      <c r="J2" s="2"/>
    </row>
    <row r="3" spans="1:10" x14ac:dyDescent="0.2">
      <c r="A3" t="s">
        <v>1</v>
      </c>
      <c r="B3" t="s">
        <v>6</v>
      </c>
      <c r="C3" s="1" t="s">
        <v>2</v>
      </c>
      <c r="D3" s="1" t="s">
        <v>12</v>
      </c>
      <c r="E3" s="1" t="s">
        <v>13</v>
      </c>
      <c r="F3" s="1" t="s">
        <v>12</v>
      </c>
      <c r="G3" s="1" t="s">
        <v>14</v>
      </c>
      <c r="H3" s="1" t="s">
        <v>9</v>
      </c>
      <c r="I3" s="1" t="s">
        <v>10</v>
      </c>
      <c r="J3" s="1" t="s">
        <v>11</v>
      </c>
    </row>
    <row r="4" spans="1:10" x14ac:dyDescent="0.2">
      <c r="A4" t="s">
        <v>5</v>
      </c>
      <c r="B4" t="s">
        <v>7</v>
      </c>
      <c r="C4">
        <v>0</v>
      </c>
      <c r="F4">
        <v>0</v>
      </c>
      <c r="G4">
        <v>5</v>
      </c>
      <c r="H4">
        <v>0</v>
      </c>
      <c r="I4">
        <v>0</v>
      </c>
      <c r="J4">
        <v>0</v>
      </c>
    </row>
    <row r="5" spans="1:10" x14ac:dyDescent="0.2">
      <c r="A5" t="s">
        <v>5</v>
      </c>
      <c r="B5" t="s">
        <v>7</v>
      </c>
      <c r="C5">
        <v>1</v>
      </c>
      <c r="F5">
        <v>5</v>
      </c>
      <c r="G5">
        <v>10</v>
      </c>
      <c r="H5">
        <v>8.6999999999999994E-2</v>
      </c>
      <c r="I5">
        <v>7.3999999999999996E-2</v>
      </c>
      <c r="J5">
        <v>6.5000000000000002E-2</v>
      </c>
    </row>
    <row r="6" spans="1:10" x14ac:dyDescent="0.2">
      <c r="A6" t="s">
        <v>5</v>
      </c>
      <c r="B6" t="s">
        <v>7</v>
      </c>
      <c r="C6">
        <v>2</v>
      </c>
      <c r="F6">
        <v>10</v>
      </c>
      <c r="G6">
        <v>50</v>
      </c>
      <c r="H6">
        <v>8.3000000000000004E-2</v>
      </c>
      <c r="I6">
        <v>7.0000000000000007E-2</v>
      </c>
      <c r="J6">
        <v>6.2E-2</v>
      </c>
    </row>
    <row r="7" spans="1:10" x14ac:dyDescent="0.2">
      <c r="A7" t="s">
        <v>5</v>
      </c>
      <c r="B7" t="s">
        <v>7</v>
      </c>
      <c r="C7">
        <v>3</v>
      </c>
      <c r="F7">
        <v>50</v>
      </c>
      <c r="G7">
        <v>150</v>
      </c>
      <c r="H7">
        <v>7.0000000000000007E-2</v>
      </c>
      <c r="I7">
        <v>0.06</v>
      </c>
      <c r="J7">
        <v>5.2999999999999999E-2</v>
      </c>
    </row>
    <row r="8" spans="1:10" x14ac:dyDescent="0.2">
      <c r="A8" t="s">
        <v>5</v>
      </c>
      <c r="B8" t="s">
        <v>7</v>
      </c>
      <c r="C8">
        <v>4</v>
      </c>
      <c r="F8">
        <v>150</v>
      </c>
      <c r="G8">
        <v>500</v>
      </c>
      <c r="H8">
        <v>0.05</v>
      </c>
      <c r="I8">
        <v>4.2999999999999997E-2</v>
      </c>
      <c r="J8">
        <v>3.7999999999999999E-2</v>
      </c>
    </row>
    <row r="9" spans="1:10" x14ac:dyDescent="0.2">
      <c r="A9" t="s">
        <v>5</v>
      </c>
      <c r="B9" t="s">
        <v>7</v>
      </c>
    </row>
    <row r="10" spans="1:10" x14ac:dyDescent="0.2">
      <c r="A10" t="s">
        <v>5</v>
      </c>
      <c r="B10" t="s">
        <v>7</v>
      </c>
    </row>
    <row r="11" spans="1:10" x14ac:dyDescent="0.2">
      <c r="A11" t="s">
        <v>5</v>
      </c>
      <c r="B11" t="s">
        <v>7</v>
      </c>
    </row>
  </sheetData>
  <mergeCells count="3">
    <mergeCell ref="F2:G2"/>
    <mergeCell ref="D2:E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2019-05-28T12:33:20Z</dcterms:created>
  <dcterms:modified xsi:type="dcterms:W3CDTF">2019-05-28T15:35:28Z</dcterms:modified>
</cp:coreProperties>
</file>